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265" windowWidth="18930" windowHeight="6645" activeTab="0"/>
  </bookViews>
  <sheets>
    <sheet name="プロペラ設計 (CD数式)" sheetId="1" r:id="rId1"/>
    <sheet name="プロペラ設計（CD手入力）" sheetId="2" r:id="rId2"/>
    <sheet name="翼性能NACA2412" sheetId="3" r:id="rId3"/>
  </sheets>
  <definedNames/>
  <calcPr fullCalcOnLoad="1"/>
</workbook>
</file>

<file path=xl/sharedStrings.xml><?xml version="1.0" encoding="utf-8"?>
<sst xmlns="http://schemas.openxmlformats.org/spreadsheetml/2006/main" count="136" uniqueCount="67">
  <si>
    <t>プロペラのブレード形状計算</t>
  </si>
  <si>
    <t>飛行速度 [m/s]</t>
  </si>
  <si>
    <t>ブレード数 [-]</t>
  </si>
  <si>
    <t>ξ</t>
  </si>
  <si>
    <t>U [m/s]</t>
  </si>
  <si>
    <t>R [m]</t>
  </si>
  <si>
    <t>Ω [rad/s]</t>
  </si>
  <si>
    <t>Q [Nm]</t>
  </si>
  <si>
    <t>Pc</t>
  </si>
  <si>
    <t>Cl</t>
  </si>
  <si>
    <t>ζ</t>
  </si>
  <si>
    <t>λ</t>
  </si>
  <si>
    <t>tanφ</t>
  </si>
  <si>
    <t>f</t>
  </si>
  <si>
    <t>F</t>
  </si>
  <si>
    <t>Re</t>
  </si>
  <si>
    <t>α</t>
  </si>
  <si>
    <t>[Nm]</t>
  </si>
  <si>
    <t>[m]</t>
  </si>
  <si>
    <t>[-]</t>
  </si>
  <si>
    <t>ボス比</t>
  </si>
  <si>
    <t>[rad/s]</t>
  </si>
  <si>
    <t>[m/s]</t>
  </si>
  <si>
    <t>プロペラ入力トルク</t>
  </si>
  <si>
    <t>回転角速度</t>
  </si>
  <si>
    <t>局所揚力係数</t>
  </si>
  <si>
    <t>プロペラ半径</t>
  </si>
  <si>
    <t>Q</t>
  </si>
  <si>
    <t>R</t>
  </si>
  <si>
    <t>ξ0</t>
  </si>
  <si>
    <t>Ω</t>
  </si>
  <si>
    <t>U</t>
  </si>
  <si>
    <t>B</t>
  </si>
  <si>
    <t>流体密度</t>
  </si>
  <si>
    <t>ρ</t>
  </si>
  <si>
    <t>[kg/m^3]</t>
  </si>
  <si>
    <t>流体動粘性係数</t>
  </si>
  <si>
    <t>ν</t>
  </si>
  <si>
    <t>[m^2/s]</t>
  </si>
  <si>
    <t>φ</t>
  </si>
  <si>
    <t>Cd</t>
  </si>
  <si>
    <t>a</t>
  </si>
  <si>
    <t>a'</t>
  </si>
  <si>
    <t>W</t>
  </si>
  <si>
    <t>J1'</t>
  </si>
  <si>
    <t>J2'</t>
  </si>
  <si>
    <t>Pc'</t>
  </si>
  <si>
    <t>I1'</t>
  </si>
  <si>
    <t>I2'</t>
  </si>
  <si>
    <t>Tc'</t>
  </si>
  <si>
    <t>C</t>
  </si>
  <si>
    <t>β</t>
  </si>
  <si>
    <t>ε</t>
  </si>
  <si>
    <t>r</t>
  </si>
  <si>
    <t>x</t>
  </si>
  <si>
    <t>G</t>
  </si>
  <si>
    <t>積分→</t>
  </si>
  <si>
    <t>差</t>
  </si>
  <si>
    <t>平均</t>
  </si>
  <si>
    <t>翼性能</t>
  </si>
  <si>
    <t>NACA2412</t>
  </si>
  <si>
    <t>Re</t>
  </si>
  <si>
    <r>
      <t>C</t>
    </r>
    <r>
      <rPr>
        <vertAlign val="subscript"/>
        <sz val="11"/>
        <color indexed="8"/>
        <rFont val="ＭＳ Ｐゴシック"/>
        <family val="3"/>
      </rPr>
      <t>D</t>
    </r>
  </si>
  <si>
    <r>
      <t>C</t>
    </r>
    <r>
      <rPr>
        <vertAlign val="subscript"/>
        <sz val="11"/>
        <color indexed="8"/>
        <rFont val="ＭＳ Ｐゴシック"/>
        <family val="3"/>
      </rPr>
      <t>L</t>
    </r>
  </si>
  <si>
    <t>NACA Report 586 (1937)より</t>
  </si>
  <si>
    <t>↑手入力</t>
  </si>
  <si>
    <t>テキストの追試（手入力）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</si>
</sst>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000000000000000_);[Red]\(0.000000000000000000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bscript"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vertAlign val="superscript"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11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425"/>
          <c:y val="0.1015"/>
          <c:w val="0.97125"/>
          <c:h val="0.86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'翼性能NACA2412'!$C$3</c:f>
              <c:strCache>
                <c:ptCount val="1"/>
                <c:pt idx="0">
                  <c:v>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00000000000000000_);[Red]\(0.00000000000000000000\)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'翼性能NACA2412'!$A$4:$A$6</c:f>
              <c:numCache/>
            </c:numRef>
          </c:xVal>
          <c:yVal>
            <c:numRef>
              <c:f>'翼性能NACA2412'!$C$4:$C$6</c:f>
              <c:numCache/>
            </c:numRef>
          </c:yVal>
          <c:smooth val="0"/>
        </c:ser>
        <c:axId val="28013350"/>
        <c:axId val="50793559"/>
      </c:scatterChart>
      <c:valAx>
        <c:axId val="28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93559"/>
        <c:crosses val="autoZero"/>
        <c:crossBetween val="midCat"/>
        <c:dispUnits/>
      </c:valAx>
      <c:valAx>
        <c:axId val="507935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133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104775</xdr:rowOff>
    </xdr:from>
    <xdr:to>
      <xdr:col>8</xdr:col>
      <xdr:colOff>447675</xdr:colOff>
      <xdr:row>38</xdr:row>
      <xdr:rowOff>95250</xdr:rowOff>
    </xdr:to>
    <xdr:graphicFrame>
      <xdr:nvGraphicFramePr>
        <xdr:cNvPr id="1" name="グラフ 2"/>
        <xdr:cNvGraphicFramePr/>
      </xdr:nvGraphicFramePr>
      <xdr:xfrm>
        <a:off x="200025" y="2886075"/>
        <a:ext cx="51720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2</xdr:row>
      <xdr:rowOff>209550</xdr:rowOff>
    </xdr:from>
    <xdr:to>
      <xdr:col>15</xdr:col>
      <xdr:colOff>457200</xdr:colOff>
      <xdr:row>37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571500"/>
          <a:ext cx="4114800" cy="611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16.7109375" style="0" bestFit="1" customWidth="1"/>
    <col min="2" max="2" width="7.57421875" style="0" customWidth="1"/>
    <col min="3" max="3" width="8.8515625" style="0" bestFit="1" customWidth="1"/>
    <col min="4" max="9" width="7.57421875" style="0" customWidth="1"/>
    <col min="10" max="10" width="4.421875" style="0" bestFit="1" customWidth="1"/>
    <col min="11" max="16" width="7.57421875" style="0" customWidth="1"/>
    <col min="17" max="17" width="8.8515625" style="3" customWidth="1"/>
    <col min="18" max="18" width="3.421875" style="0" bestFit="1" customWidth="1"/>
    <col min="19" max="29" width="7.57421875" style="0" customWidth="1"/>
    <col min="30" max="30" width="8.57421875" style="0" customWidth="1"/>
    <col min="31" max="35" width="7.57421875" style="0" customWidth="1"/>
  </cols>
  <sheetData>
    <row r="1" spans="1:3" ht="13.5">
      <c r="A1" s="6" t="s">
        <v>0</v>
      </c>
      <c r="B1" s="6"/>
      <c r="C1" s="6"/>
    </row>
    <row r="3" spans="1:4" ht="13.5">
      <c r="A3" t="s">
        <v>33</v>
      </c>
      <c r="B3" t="s">
        <v>34</v>
      </c>
      <c r="C3">
        <v>1.205</v>
      </c>
      <c r="D3" t="s">
        <v>35</v>
      </c>
    </row>
    <row r="4" spans="1:4" ht="13.5">
      <c r="A4" t="s">
        <v>36</v>
      </c>
      <c r="B4" t="s">
        <v>37</v>
      </c>
      <c r="C4" s="1">
        <v>1.502E-05</v>
      </c>
      <c r="D4" t="s">
        <v>38</v>
      </c>
    </row>
    <row r="6" spans="1:4" ht="13.5">
      <c r="A6" t="s">
        <v>23</v>
      </c>
      <c r="B6" t="s">
        <v>27</v>
      </c>
      <c r="C6">
        <v>0.15</v>
      </c>
      <c r="D6" t="s">
        <v>17</v>
      </c>
    </row>
    <row r="7" spans="1:4" ht="13.5">
      <c r="A7" t="s">
        <v>26</v>
      </c>
      <c r="B7" t="s">
        <v>28</v>
      </c>
      <c r="C7">
        <v>0.125</v>
      </c>
      <c r="D7" t="s">
        <v>18</v>
      </c>
    </row>
    <row r="8" spans="1:4" ht="13.5">
      <c r="A8" t="s">
        <v>20</v>
      </c>
      <c r="B8" t="s">
        <v>29</v>
      </c>
      <c r="C8">
        <f>0.015/C7</f>
        <v>0.12</v>
      </c>
      <c r="D8" t="s">
        <v>19</v>
      </c>
    </row>
    <row r="9" spans="1:4" ht="13.5">
      <c r="A9" t="s">
        <v>24</v>
      </c>
      <c r="B9" t="s">
        <v>30</v>
      </c>
      <c r="C9">
        <v>628</v>
      </c>
      <c r="D9" t="s">
        <v>21</v>
      </c>
    </row>
    <row r="10" spans="1:4" ht="13.5">
      <c r="A10" t="s">
        <v>1</v>
      </c>
      <c r="B10" t="s">
        <v>31</v>
      </c>
      <c r="C10">
        <v>20</v>
      </c>
      <c r="D10" t="s">
        <v>22</v>
      </c>
    </row>
    <row r="11" spans="1:4" ht="13.5">
      <c r="A11" t="s">
        <v>2</v>
      </c>
      <c r="B11" t="s">
        <v>32</v>
      </c>
      <c r="C11">
        <v>2</v>
      </c>
      <c r="D11" t="s">
        <v>19</v>
      </c>
    </row>
    <row r="12" spans="1:4" ht="13.5">
      <c r="A12" t="s">
        <v>25</v>
      </c>
      <c r="B12" t="s">
        <v>9</v>
      </c>
      <c r="C12">
        <v>0.7</v>
      </c>
      <c r="D12" t="s">
        <v>19</v>
      </c>
    </row>
    <row r="13" spans="2:4" ht="13.5">
      <c r="B13" t="s">
        <v>10</v>
      </c>
      <c r="C13">
        <v>0.268</v>
      </c>
      <c r="D13" t="s">
        <v>19</v>
      </c>
    </row>
    <row r="15" spans="2:35" ht="13.5">
      <c r="B15" t="s">
        <v>3</v>
      </c>
      <c r="C15" t="s">
        <v>4</v>
      </c>
      <c r="D15" t="s">
        <v>5</v>
      </c>
      <c r="E15" t="s">
        <v>53</v>
      </c>
      <c r="F15" t="s">
        <v>6</v>
      </c>
      <c r="G15" t="s">
        <v>54</v>
      </c>
      <c r="H15" t="s">
        <v>7</v>
      </c>
      <c r="I15" t="s">
        <v>8</v>
      </c>
      <c r="J15" t="s">
        <v>9</v>
      </c>
      <c r="K15" t="s">
        <v>10</v>
      </c>
      <c r="L15" t="s">
        <v>11</v>
      </c>
      <c r="M15" t="s">
        <v>12</v>
      </c>
      <c r="N15" t="s">
        <v>39</v>
      </c>
      <c r="O15" t="s">
        <v>13</v>
      </c>
      <c r="P15" t="s">
        <v>14</v>
      </c>
      <c r="Q15" s="3" t="s">
        <v>15</v>
      </c>
      <c r="R15" t="s">
        <v>16</v>
      </c>
      <c r="S15" t="s">
        <v>40</v>
      </c>
      <c r="T15" t="s">
        <v>52</v>
      </c>
      <c r="U15" t="s">
        <v>41</v>
      </c>
      <c r="V15" t="s">
        <v>42</v>
      </c>
      <c r="W15" t="s">
        <v>43</v>
      </c>
      <c r="X15" t="s">
        <v>55</v>
      </c>
      <c r="Y15" t="s">
        <v>44</v>
      </c>
      <c r="AA15" t="s">
        <v>45</v>
      </c>
      <c r="AC15" t="s">
        <v>46</v>
      </c>
      <c r="AE15" t="s">
        <v>47</v>
      </c>
      <c r="AF15" t="s">
        <v>48</v>
      </c>
      <c r="AG15" t="s">
        <v>49</v>
      </c>
      <c r="AH15" t="s">
        <v>50</v>
      </c>
      <c r="AI15" t="s">
        <v>51</v>
      </c>
    </row>
    <row r="16" spans="2:35" ht="13.5">
      <c r="B16">
        <v>0.2</v>
      </c>
      <c r="C16">
        <f>C$10</f>
        <v>20</v>
      </c>
      <c r="D16">
        <f>C$7</f>
        <v>0.125</v>
      </c>
      <c r="E16">
        <f>D16*B16</f>
        <v>0.025</v>
      </c>
      <c r="F16">
        <f>C$9</f>
        <v>628</v>
      </c>
      <c r="G16">
        <f aca="true" t="shared" si="0" ref="G16:G24">F16*E16/C16</f>
        <v>0.785</v>
      </c>
      <c r="H16">
        <f>C$6</f>
        <v>0.15</v>
      </c>
      <c r="I16">
        <f>C$6*C$9/(0.5*C$3*C$10^3*3.1416*C$7^2)</f>
        <v>0.3981373764141643</v>
      </c>
      <c r="J16">
        <f>C$12</f>
        <v>0.7</v>
      </c>
      <c r="K16">
        <f>C$13</f>
        <v>0.268</v>
      </c>
      <c r="L16">
        <f>C$10/(C$9*C$7)</f>
        <v>0.25477707006369427</v>
      </c>
      <c r="M16">
        <f aca="true" t="shared" si="1" ref="M16:M24">(1+0.5*C$13)*L16/B16</f>
        <v>1.4445859872611462</v>
      </c>
      <c r="N16">
        <f>ATAN(M16)</f>
        <v>0.9652975200248556</v>
      </c>
      <c r="O16">
        <f aca="true" t="shared" si="2" ref="O16:O24">0.5*C$11*(1-B16)/SIN(ATAN((1+0.5*K16)*L16))</f>
        <v>2.88221032475821</v>
      </c>
      <c r="P16">
        <f>2/3.1416*ACOS(EXP(-O16))</f>
        <v>0.9643214764853029</v>
      </c>
      <c r="Q16" s="3">
        <f aca="true" t="shared" si="3" ref="Q16:Q24">4*3.1416*(D16*B16)*P16*COS(N16)*SIN(N16)*C16*K16/(C$4*J16*C$11)</f>
        <v>36138.524817791724</v>
      </c>
      <c r="R16">
        <v>5</v>
      </c>
      <c r="S16">
        <f>-0.00000012044008292378*Q16+0.0319879186909249</f>
        <v>0.02763539176512698</v>
      </c>
      <c r="T16">
        <f>S16/J16</f>
        <v>0.03947913109303855</v>
      </c>
      <c r="U16">
        <f>0.5*K16*(COS(N16))^2*(1-T16*M16)</f>
        <v>0.040934518685217976</v>
      </c>
      <c r="V16">
        <f aca="true" t="shared" si="4" ref="V16:V24">0.5*K16/G16*COS(N16)*SIN(N16)*(1+T16/M16)</f>
        <v>0.08206832567441097</v>
      </c>
      <c r="W16">
        <f aca="true" t="shared" si="5" ref="W16:W24">C16*(1+U16)/SIN(N16)</f>
        <v>25.320149834026896</v>
      </c>
      <c r="X16">
        <f>P16*G16*COS(N16)*SIN(N16)</f>
        <v>0.35426020346889947</v>
      </c>
      <c r="Y16">
        <f>4*B16*X16*(1+T16/M16)</f>
        <v>0.2911534324300256</v>
      </c>
      <c r="Z16">
        <f>0.5*(2*Y16-(Y17-Y16)*(B16-C8)/(B17-B16))*(B16-C8)+0.5*(Y16+Y17)*(B17-B16)</f>
        <v>0.059673912550161815</v>
      </c>
      <c r="AA16">
        <f>0.5*Y16*(1-T16*M16)*(COS(N16))^2</f>
        <v>0.04447099111967251</v>
      </c>
      <c r="AB16">
        <f>0.5*(2*AA16-(AA17-AA16)*(B16-C8)/(B17-B16))*(B16-C8)+0.5*(AA16*AA17)*(B17-B16)</f>
        <v>-0.00020074559277813864</v>
      </c>
      <c r="AC16">
        <f>Y16*K16+AA16*K16^2</f>
        <v>0.08122320435742623</v>
      </c>
      <c r="AD16">
        <f>0.5*(AC16*AC17)*(B17-B16)</f>
        <v>0.000807011427826866</v>
      </c>
      <c r="AH16">
        <f>4*3.1416*E16*P16*COS(N16)*SIN(N16)*C$10*C$13/(J16*C$11*W16)</f>
        <v>0.021437497262902457</v>
      </c>
      <c r="AI16">
        <f>R16+N16*180/3.1416</f>
        <v>60.307344539239246</v>
      </c>
    </row>
    <row r="17" spans="2:35" ht="13.5">
      <c r="B17">
        <v>0.3</v>
      </c>
      <c r="C17">
        <f aca="true" t="shared" si="6" ref="C17:C24">C$10</f>
        <v>20</v>
      </c>
      <c r="D17">
        <f aca="true" t="shared" si="7" ref="D17:D24">C$7</f>
        <v>0.125</v>
      </c>
      <c r="E17">
        <f aca="true" t="shared" si="8" ref="E17:E24">D17*B17</f>
        <v>0.0375</v>
      </c>
      <c r="F17">
        <f aca="true" t="shared" si="9" ref="F17:F24">C$9</f>
        <v>628</v>
      </c>
      <c r="G17">
        <f t="shared" si="0"/>
        <v>1.1775</v>
      </c>
      <c r="H17">
        <f aca="true" t="shared" si="10" ref="H17:H24">C$6</f>
        <v>0.15</v>
      </c>
      <c r="I17">
        <f aca="true" t="shared" si="11" ref="I17:I24">C$6*C$9/(0.5*C$3*C$10^3*3.1416*C$7^2)</f>
        <v>0.3981373764141643</v>
      </c>
      <c r="J17">
        <f aca="true" t="shared" si="12" ref="J17:J24">C$12</f>
        <v>0.7</v>
      </c>
      <c r="K17">
        <f aca="true" t="shared" si="13" ref="K17:K24">C$13</f>
        <v>0.268</v>
      </c>
      <c r="L17">
        <f aca="true" t="shared" si="14" ref="L17:L24">C$10/(C$9*C$7)</f>
        <v>0.25477707006369427</v>
      </c>
      <c r="M17">
        <f t="shared" si="1"/>
        <v>0.9630573248407642</v>
      </c>
      <c r="N17">
        <f aca="true" t="shared" si="15" ref="N17:N24">ATAN(M17)</f>
        <v>0.7665814357855693</v>
      </c>
      <c r="O17">
        <f t="shared" si="2"/>
        <v>2.5219340341634333</v>
      </c>
      <c r="P17">
        <f aca="true" t="shared" si="16" ref="P17:P24">2/3.1416*ACOS(EXP(-O17))</f>
        <v>0.9488194675035909</v>
      </c>
      <c r="Q17" s="3">
        <f t="shared" si="3"/>
        <v>56944.9146737891</v>
      </c>
      <c r="R17">
        <v>5</v>
      </c>
      <c r="S17">
        <f aca="true" t="shared" si="17" ref="S17:S24">-0.00000012044008292378*Q17+0.0319879186909249</f>
        <v>0.025129468445526163</v>
      </c>
      <c r="T17">
        <f aca="true" t="shared" si="18" ref="T17:T24">S17/J17</f>
        <v>0.03589924063646595</v>
      </c>
      <c r="U17">
        <f aca="true" t="shared" si="19" ref="U17:U23">0.5*K17*(COS(N17))^2*(1-T17*M17)</f>
        <v>0.06711730029134844</v>
      </c>
      <c r="V17">
        <f t="shared" si="4"/>
        <v>0.05897945300586558</v>
      </c>
      <c r="W17">
        <f t="shared" si="5"/>
        <v>30.766981583165087</v>
      </c>
      <c r="X17">
        <f aca="true" t="shared" si="20" ref="X17:X24">P17*G17*COS(N17)*SIN(N17)</f>
        <v>0.5582219296600596</v>
      </c>
      <c r="Y17">
        <f>4*B17*X17*(1+T17/M17)</f>
        <v>0.6948364720276489</v>
      </c>
      <c r="Z17">
        <f>0.5*(Y17+Y18)*(B18-B17)</f>
        <v>0.09254738471565561</v>
      </c>
      <c r="AA17">
        <f aca="true" t="shared" si="21" ref="AA17:AA24">0.5*Y17*(1-T17*M17)*(COS(N17))^2</f>
        <v>0.1740132393524658</v>
      </c>
      <c r="AB17">
        <f>0.5*(AA17+AA18)*(B18-B17)</f>
        <v>0.027233660142713126</v>
      </c>
      <c r="AC17">
        <f aca="true" t="shared" si="22" ref="AC17:AC24">Y17*K17+AA17*K17^2</f>
        <v>0.19871450140666141</v>
      </c>
      <c r="AD17">
        <f aca="true" t="shared" si="23" ref="AD17:AD24">0.5*(AC17*AC18)*(B18-B17)</f>
        <v>0.003342974939367798</v>
      </c>
      <c r="AH17">
        <f aca="true" t="shared" si="24" ref="AH17:AH24">4*3.1416*E17*P17*COS(N17)*SIN(N17)*C$10*C$13/(J17*C$11*W17)</f>
        <v>0.027799692215121866</v>
      </c>
      <c r="AI17">
        <f aca="true" t="shared" si="25" ref="AI17:AI24">R17+N17*180/3.1416</f>
        <v>48.921778215368754</v>
      </c>
    </row>
    <row r="18" spans="2:35" ht="13.5">
      <c r="B18">
        <v>0.4</v>
      </c>
      <c r="C18">
        <f t="shared" si="6"/>
        <v>20</v>
      </c>
      <c r="D18">
        <f t="shared" si="7"/>
        <v>0.125</v>
      </c>
      <c r="E18">
        <f t="shared" si="8"/>
        <v>0.05</v>
      </c>
      <c r="F18">
        <f t="shared" si="9"/>
        <v>628</v>
      </c>
      <c r="G18">
        <f t="shared" si="0"/>
        <v>1.57</v>
      </c>
      <c r="H18">
        <f t="shared" si="10"/>
        <v>0.15</v>
      </c>
      <c r="I18">
        <f t="shared" si="11"/>
        <v>0.3981373764141643</v>
      </c>
      <c r="J18">
        <f t="shared" si="12"/>
        <v>0.7</v>
      </c>
      <c r="K18">
        <f t="shared" si="13"/>
        <v>0.268</v>
      </c>
      <c r="L18">
        <f t="shared" si="14"/>
        <v>0.25477707006369427</v>
      </c>
      <c r="M18">
        <f t="shared" si="1"/>
        <v>0.7222929936305731</v>
      </c>
      <c r="N18">
        <f t="shared" si="15"/>
        <v>0.6255315497038715</v>
      </c>
      <c r="O18">
        <f t="shared" si="2"/>
        <v>2.1616577435686573</v>
      </c>
      <c r="P18">
        <f t="shared" si="16"/>
        <v>0.926538280179982</v>
      </c>
      <c r="Q18" s="3">
        <f t="shared" si="3"/>
        <v>70435.78966362284</v>
      </c>
      <c r="R18">
        <v>5</v>
      </c>
      <c r="S18">
        <f t="shared" si="17"/>
        <v>0.02350462634303624</v>
      </c>
      <c r="T18">
        <f t="shared" si="18"/>
        <v>0.03357803763290892</v>
      </c>
      <c r="U18">
        <f t="shared" si="19"/>
        <v>0.08592328169093198</v>
      </c>
      <c r="V18">
        <f t="shared" si="4"/>
        <v>0.04239569515790831</v>
      </c>
      <c r="W18">
        <f t="shared" si="5"/>
        <v>37.092087968111905</v>
      </c>
      <c r="X18">
        <f t="shared" si="20"/>
        <v>0.6904708286665583</v>
      </c>
      <c r="Y18">
        <f aca="true" t="shared" si="26" ref="Y18:Y24">4*B18*X18*(1+T18/M18)</f>
        <v>1.1561112222854628</v>
      </c>
      <c r="Z18">
        <f aca="true" t="shared" si="27" ref="Z18:Z23">0.5*(Y18+Y19)*(B19-B18)</f>
        <v>0.13810187232882987</v>
      </c>
      <c r="AA18">
        <f t="shared" si="21"/>
        <v>0.3706599635017966</v>
      </c>
      <c r="AB18">
        <f aca="true" t="shared" si="28" ref="AB18:AB23">0.5*(AA18+AA19)*(B19-B18)</f>
        <v>0.04806884697184716</v>
      </c>
      <c r="AC18">
        <f t="shared" si="22"/>
        <v>0.3364600887910571</v>
      </c>
      <c r="AD18">
        <f t="shared" si="23"/>
        <v>0.007954183718812582</v>
      </c>
      <c r="AH18">
        <f t="shared" si="24"/>
        <v>0.02852213554699675</v>
      </c>
      <c r="AI18">
        <f t="shared" si="25"/>
        <v>40.840233940252375</v>
      </c>
    </row>
    <row r="19" spans="2:35" ht="13.5">
      <c r="B19">
        <v>0.5</v>
      </c>
      <c r="C19">
        <f t="shared" si="6"/>
        <v>20</v>
      </c>
      <c r="D19">
        <f t="shared" si="7"/>
        <v>0.125</v>
      </c>
      <c r="E19">
        <f t="shared" si="8"/>
        <v>0.0625</v>
      </c>
      <c r="F19">
        <f t="shared" si="9"/>
        <v>628</v>
      </c>
      <c r="G19">
        <f t="shared" si="0"/>
        <v>1.9625</v>
      </c>
      <c r="H19">
        <f t="shared" si="10"/>
        <v>0.15</v>
      </c>
      <c r="I19">
        <f t="shared" si="11"/>
        <v>0.3981373764141643</v>
      </c>
      <c r="J19">
        <f t="shared" si="12"/>
        <v>0.7</v>
      </c>
      <c r="K19">
        <f t="shared" si="13"/>
        <v>0.268</v>
      </c>
      <c r="L19">
        <f t="shared" si="14"/>
        <v>0.25477707006369427</v>
      </c>
      <c r="M19">
        <f t="shared" si="1"/>
        <v>0.5778343949044585</v>
      </c>
      <c r="N19">
        <f t="shared" si="15"/>
        <v>0.5239617937680368</v>
      </c>
      <c r="O19">
        <f t="shared" si="2"/>
        <v>1.801381452973881</v>
      </c>
      <c r="P19">
        <f t="shared" si="16"/>
        <v>0.8944274505987583</v>
      </c>
      <c r="Q19" s="3">
        <f t="shared" si="3"/>
        <v>77568.49542955963</v>
      </c>
      <c r="R19">
        <v>5</v>
      </c>
      <c r="S19">
        <f t="shared" si="17"/>
        <v>0.02264556266911589</v>
      </c>
      <c r="T19">
        <f t="shared" si="18"/>
        <v>0.0323508038130227</v>
      </c>
      <c r="U19">
        <f t="shared" si="19"/>
        <v>0.09857996410793977</v>
      </c>
      <c r="V19">
        <f t="shared" si="4"/>
        <v>0.031234599552081358</v>
      </c>
      <c r="W19">
        <f t="shared" si="5"/>
        <v>43.91558883321624</v>
      </c>
      <c r="X19">
        <f t="shared" si="20"/>
        <v>0.7603916073553593</v>
      </c>
      <c r="Y19">
        <f t="shared" si="26"/>
        <v>1.605926224291135</v>
      </c>
      <c r="Z19">
        <f t="shared" si="27"/>
        <v>0.18018322871976503</v>
      </c>
      <c r="AA19">
        <f t="shared" si="21"/>
        <v>0.5907169759351467</v>
      </c>
      <c r="AB19">
        <f t="shared" si="28"/>
        <v>0.06945398303757407</v>
      </c>
      <c r="AC19">
        <f t="shared" si="22"/>
        <v>0.4728158841895902</v>
      </c>
      <c r="AD19">
        <f t="shared" si="23"/>
        <v>0.014012737486839686</v>
      </c>
      <c r="AH19">
        <f t="shared" si="24"/>
        <v>0.026529959686451023</v>
      </c>
      <c r="AI19">
        <f t="shared" si="25"/>
        <v>35.02072920748874</v>
      </c>
    </row>
    <row r="20" spans="2:35" ht="13.5">
      <c r="B20">
        <v>0.6</v>
      </c>
      <c r="C20">
        <f t="shared" si="6"/>
        <v>20</v>
      </c>
      <c r="D20">
        <f t="shared" si="7"/>
        <v>0.125</v>
      </c>
      <c r="E20">
        <f t="shared" si="8"/>
        <v>0.075</v>
      </c>
      <c r="F20">
        <f t="shared" si="9"/>
        <v>628</v>
      </c>
      <c r="G20">
        <f t="shared" si="0"/>
        <v>2.355</v>
      </c>
      <c r="H20">
        <f t="shared" si="10"/>
        <v>0.15</v>
      </c>
      <c r="I20">
        <f t="shared" si="11"/>
        <v>0.3981373764141643</v>
      </c>
      <c r="J20">
        <f t="shared" si="12"/>
        <v>0.7</v>
      </c>
      <c r="K20">
        <f t="shared" si="13"/>
        <v>0.268</v>
      </c>
      <c r="L20">
        <f t="shared" si="14"/>
        <v>0.25477707006369427</v>
      </c>
      <c r="M20">
        <f t="shared" si="1"/>
        <v>0.4815286624203821</v>
      </c>
      <c r="N20">
        <f t="shared" si="15"/>
        <v>0.4487616449797169</v>
      </c>
      <c r="O20">
        <f t="shared" si="2"/>
        <v>1.441105162379105</v>
      </c>
      <c r="P20">
        <f t="shared" si="16"/>
        <v>0.8478885543833267</v>
      </c>
      <c r="Q20" s="3">
        <f t="shared" si="3"/>
        <v>79622.36134674023</v>
      </c>
      <c r="R20">
        <v>5</v>
      </c>
      <c r="S20">
        <f t="shared" si="17"/>
        <v>0.02239819488773633</v>
      </c>
      <c r="T20">
        <f t="shared" si="18"/>
        <v>0.031997421268194756</v>
      </c>
      <c r="U20">
        <f t="shared" si="19"/>
        <v>0.10710171305447554</v>
      </c>
      <c r="V20">
        <f t="shared" si="4"/>
        <v>0.02371982975795808</v>
      </c>
      <c r="W20">
        <f t="shared" si="5"/>
        <v>51.03613632407004</v>
      </c>
      <c r="X20">
        <f t="shared" si="20"/>
        <v>0.7805253278485664</v>
      </c>
      <c r="Y20">
        <f t="shared" si="26"/>
        <v>1.9977383501041666</v>
      </c>
      <c r="Z20">
        <f t="shared" si="27"/>
        <v>0.2139534565020054</v>
      </c>
      <c r="AA20">
        <f t="shared" si="21"/>
        <v>0.7983626848163351</v>
      </c>
      <c r="AB20">
        <f t="shared" si="28"/>
        <v>0.08799734929622959</v>
      </c>
      <c r="AC20">
        <f t="shared" si="22"/>
        <v>0.5927354793021652</v>
      </c>
      <c r="AD20">
        <f t="shared" si="23"/>
        <v>0.0201666830707408</v>
      </c>
      <c r="AH20">
        <f t="shared" si="24"/>
        <v>0.023432962476511096</v>
      </c>
      <c r="AI20">
        <f t="shared" si="25"/>
        <v>30.712088138639242</v>
      </c>
    </row>
    <row r="21" spans="2:35" ht="13.5">
      <c r="B21">
        <v>0.7</v>
      </c>
      <c r="C21">
        <f t="shared" si="6"/>
        <v>20</v>
      </c>
      <c r="D21">
        <f t="shared" si="7"/>
        <v>0.125</v>
      </c>
      <c r="E21">
        <f t="shared" si="8"/>
        <v>0.0875</v>
      </c>
      <c r="F21">
        <f t="shared" si="9"/>
        <v>628</v>
      </c>
      <c r="G21">
        <f t="shared" si="0"/>
        <v>2.7474999999999996</v>
      </c>
      <c r="H21">
        <f t="shared" si="10"/>
        <v>0.15</v>
      </c>
      <c r="I21">
        <f t="shared" si="11"/>
        <v>0.3981373764141643</v>
      </c>
      <c r="J21">
        <f t="shared" si="12"/>
        <v>0.7</v>
      </c>
      <c r="K21">
        <f t="shared" si="13"/>
        <v>0.268</v>
      </c>
      <c r="L21">
        <f t="shared" si="14"/>
        <v>0.25477707006369427</v>
      </c>
      <c r="M21">
        <f t="shared" si="1"/>
        <v>0.4127388535031847</v>
      </c>
      <c r="N21">
        <f t="shared" si="15"/>
        <v>0.3914396829723778</v>
      </c>
      <c r="O21">
        <f t="shared" si="2"/>
        <v>1.0808288717843288</v>
      </c>
      <c r="P21">
        <f t="shared" si="16"/>
        <v>0.7796082371889663</v>
      </c>
      <c r="Q21" s="3">
        <f t="shared" si="3"/>
        <v>77058.49448513633</v>
      </c>
      <c r="R21">
        <v>5</v>
      </c>
      <c r="S21">
        <f t="shared" si="17"/>
        <v>0.022706987225153435</v>
      </c>
      <c r="T21">
        <f t="shared" si="18"/>
        <v>0.03243855317879062</v>
      </c>
      <c r="U21">
        <f t="shared" si="19"/>
        <v>0.11296239675697048</v>
      </c>
      <c r="V21">
        <f t="shared" si="4"/>
        <v>0.018551678344823228</v>
      </c>
      <c r="W21">
        <f t="shared" si="5"/>
        <v>58.34365558256419</v>
      </c>
      <c r="X21">
        <f t="shared" si="20"/>
        <v>0.7553921493184952</v>
      </c>
      <c r="Y21">
        <f t="shared" si="26"/>
        <v>2.2813307799359426</v>
      </c>
      <c r="Z21">
        <f t="shared" si="27"/>
        <v>0.23281642509570333</v>
      </c>
      <c r="AA21">
        <f t="shared" si="21"/>
        <v>0.9615843011082569</v>
      </c>
      <c r="AB21">
        <f t="shared" si="28"/>
        <v>0.0999627126337675</v>
      </c>
      <c r="AC21">
        <f t="shared" si="22"/>
        <v>0.6804614798656321</v>
      </c>
      <c r="AD21">
        <f t="shared" si="23"/>
        <v>0.024191392145389557</v>
      </c>
      <c r="AH21">
        <f t="shared" si="24"/>
        <v>0.019837951112419473</v>
      </c>
      <c r="AI21">
        <f t="shared" si="25"/>
        <v>27.42778932232875</v>
      </c>
    </row>
    <row r="22" spans="2:35" ht="13.5">
      <c r="B22">
        <v>0.8</v>
      </c>
      <c r="C22">
        <f t="shared" si="6"/>
        <v>20</v>
      </c>
      <c r="D22">
        <f t="shared" si="7"/>
        <v>0.125</v>
      </c>
      <c r="E22">
        <f t="shared" si="8"/>
        <v>0.1</v>
      </c>
      <c r="F22">
        <f t="shared" si="9"/>
        <v>628</v>
      </c>
      <c r="G22">
        <f t="shared" si="0"/>
        <v>3.14</v>
      </c>
      <c r="H22">
        <f t="shared" si="10"/>
        <v>0.15</v>
      </c>
      <c r="I22">
        <f t="shared" si="11"/>
        <v>0.3981373764141643</v>
      </c>
      <c r="J22">
        <f t="shared" si="12"/>
        <v>0.7</v>
      </c>
      <c r="K22">
        <f t="shared" si="13"/>
        <v>0.268</v>
      </c>
      <c r="L22">
        <f t="shared" si="14"/>
        <v>0.25477707006369427</v>
      </c>
      <c r="M22">
        <f t="shared" si="1"/>
        <v>0.36114649681528654</v>
      </c>
      <c r="N22">
        <f t="shared" si="15"/>
        <v>0.34657016774738725</v>
      </c>
      <c r="O22">
        <f t="shared" si="2"/>
        <v>0.7205525811895522</v>
      </c>
      <c r="P22">
        <f t="shared" si="16"/>
        <v>0.6765572632992998</v>
      </c>
      <c r="Q22" s="3">
        <f t="shared" si="3"/>
        <v>69234.60616885732</v>
      </c>
      <c r="R22">
        <v>5</v>
      </c>
      <c r="S22">
        <f t="shared" si="17"/>
        <v>0.02364929698275247</v>
      </c>
      <c r="T22">
        <f t="shared" si="18"/>
        <v>0.03378470997536067</v>
      </c>
      <c r="U22">
        <f t="shared" si="19"/>
        <v>0.11709297421487902</v>
      </c>
      <c r="V22">
        <f t="shared" si="4"/>
        <v>0.014909193814039668</v>
      </c>
      <c r="W22">
        <f t="shared" si="5"/>
        <v>65.77443567314654</v>
      </c>
      <c r="X22">
        <f t="shared" si="20"/>
        <v>0.67869581816448</v>
      </c>
      <c r="Y22">
        <f t="shared" si="26"/>
        <v>2.3749977219781204</v>
      </c>
      <c r="Z22">
        <f t="shared" si="27"/>
        <v>0.2235741449309964</v>
      </c>
      <c r="AA22">
        <f t="shared" si="21"/>
        <v>1.0376699515670915</v>
      </c>
      <c r="AB22">
        <f t="shared" si="28"/>
        <v>0.09884195087751206</v>
      </c>
      <c r="AC22">
        <f t="shared" si="22"/>
        <v>0.7110289960914911</v>
      </c>
      <c r="AD22">
        <f t="shared" si="23"/>
        <v>0.022372986200946018</v>
      </c>
      <c r="AH22">
        <f t="shared" si="24"/>
        <v>0.015810151375890775</v>
      </c>
      <c r="AI22">
        <f t="shared" si="25"/>
        <v>24.856961482852594</v>
      </c>
    </row>
    <row r="23" spans="2:35" ht="13.5">
      <c r="B23">
        <v>0.9</v>
      </c>
      <c r="C23">
        <f t="shared" si="6"/>
        <v>20</v>
      </c>
      <c r="D23">
        <f t="shared" si="7"/>
        <v>0.125</v>
      </c>
      <c r="E23">
        <f t="shared" si="8"/>
        <v>0.1125</v>
      </c>
      <c r="F23">
        <f t="shared" si="9"/>
        <v>628</v>
      </c>
      <c r="G23">
        <f t="shared" si="0"/>
        <v>3.5325</v>
      </c>
      <c r="H23">
        <f t="shared" si="10"/>
        <v>0.15</v>
      </c>
      <c r="I23">
        <f t="shared" si="11"/>
        <v>0.3981373764141643</v>
      </c>
      <c r="J23">
        <f t="shared" si="12"/>
        <v>0.7</v>
      </c>
      <c r="K23">
        <f t="shared" si="13"/>
        <v>0.268</v>
      </c>
      <c r="L23">
        <f t="shared" si="14"/>
        <v>0.25477707006369427</v>
      </c>
      <c r="M23">
        <f t="shared" si="1"/>
        <v>0.32101910828025476</v>
      </c>
      <c r="N23">
        <f t="shared" si="15"/>
        <v>0.3106271159904506</v>
      </c>
      <c r="O23">
        <f t="shared" si="2"/>
        <v>0.3602762905947761</v>
      </c>
      <c r="P23">
        <f t="shared" si="16"/>
        <v>0.5086048192909459</v>
      </c>
      <c r="Q23" s="3">
        <f t="shared" si="3"/>
        <v>53339.02745891062</v>
      </c>
      <c r="R23">
        <v>5</v>
      </c>
      <c r="S23">
        <f t="shared" si="17"/>
        <v>0.025563761800699924</v>
      </c>
      <c r="T23">
        <f t="shared" si="18"/>
        <v>0.036519659715285605</v>
      </c>
      <c r="U23">
        <f t="shared" si="19"/>
        <v>0.1200568038771722</v>
      </c>
      <c r="V23">
        <f t="shared" si="4"/>
        <v>0.012295587409901068</v>
      </c>
      <c r="W23">
        <f t="shared" si="5"/>
        <v>73.28876492926689</v>
      </c>
      <c r="X23">
        <f t="shared" si="20"/>
        <v>0.5228739915560711</v>
      </c>
      <c r="Y23">
        <f t="shared" si="26"/>
        <v>2.096485176641808</v>
      </c>
      <c r="Z23">
        <f t="shared" si="27"/>
        <v>0.12478796716025617</v>
      </c>
      <c r="AA23">
        <f t="shared" si="21"/>
        <v>0.9391690659831501</v>
      </c>
      <c r="AB23">
        <f t="shared" si="28"/>
        <v>0.0561835586424778</v>
      </c>
      <c r="AC23">
        <f t="shared" si="22"/>
        <v>0.6293129063351783</v>
      </c>
      <c r="AD23">
        <f t="shared" si="23"/>
        <v>0.008734403192319854</v>
      </c>
      <c r="AH23">
        <f t="shared" si="24"/>
        <v>0.010931446221068846</v>
      </c>
      <c r="AI23">
        <f t="shared" si="25"/>
        <v>22.797581130086936</v>
      </c>
    </row>
    <row r="24" spans="2:35" ht="13.5">
      <c r="B24">
        <v>0.975</v>
      </c>
      <c r="C24">
        <f t="shared" si="6"/>
        <v>20</v>
      </c>
      <c r="D24">
        <f t="shared" si="7"/>
        <v>0.125</v>
      </c>
      <c r="E24">
        <f t="shared" si="8"/>
        <v>0.121875</v>
      </c>
      <c r="F24">
        <f t="shared" si="9"/>
        <v>628</v>
      </c>
      <c r="G24">
        <f t="shared" si="0"/>
        <v>3.826875</v>
      </c>
      <c r="H24">
        <f t="shared" si="10"/>
        <v>0.15</v>
      </c>
      <c r="I24">
        <f t="shared" si="11"/>
        <v>0.3981373764141643</v>
      </c>
      <c r="J24">
        <f t="shared" si="12"/>
        <v>0.7</v>
      </c>
      <c r="K24">
        <f t="shared" si="13"/>
        <v>0.268</v>
      </c>
      <c r="L24">
        <f t="shared" si="14"/>
        <v>0.25477707006369427</v>
      </c>
      <c r="M24">
        <f t="shared" si="1"/>
        <v>0.29632533072023515</v>
      </c>
      <c r="N24">
        <f t="shared" si="15"/>
        <v>0.28808213800605564</v>
      </c>
      <c r="O24">
        <f t="shared" si="2"/>
        <v>0.09006907264869413</v>
      </c>
      <c r="P24">
        <f t="shared" si="16"/>
        <v>0.266160660261491</v>
      </c>
      <c r="Q24" s="3">
        <f t="shared" si="3"/>
        <v>28304.301655405256</v>
      </c>
      <c r="R24">
        <v>5</v>
      </c>
      <c r="S24">
        <f t="shared" si="17"/>
        <v>0.028578946252448206</v>
      </c>
      <c r="T24">
        <f t="shared" si="18"/>
        <v>0.04082706607492601</v>
      </c>
      <c r="U24">
        <f>0.5*K24*(COS(N24))^2*(1-T24*M24)</f>
        <v>0.12169313889954621</v>
      </c>
      <c r="V24">
        <f t="shared" si="4"/>
        <v>0.010852611199694695</v>
      </c>
      <c r="W24">
        <f t="shared" si="5"/>
        <v>78.9608010498804</v>
      </c>
      <c r="X24">
        <f t="shared" si="20"/>
        <v>0.2774625614643916</v>
      </c>
      <c r="Y24">
        <f t="shared" si="26"/>
        <v>1.2311939476316918</v>
      </c>
      <c r="Z24">
        <f>(7*Y24-Y23)/6*(B25-B24)</f>
        <v>0.027174468569916833</v>
      </c>
      <c r="AA24">
        <f t="shared" si="21"/>
        <v>0.5590591644829257</v>
      </c>
      <c r="AB24">
        <f>(7*AA24-AA23)/6*(B25-B24)</f>
        <v>0.01239268785582222</v>
      </c>
      <c r="AC24">
        <f t="shared" si="22"/>
        <v>0.3701138433951151</v>
      </c>
      <c r="AD24">
        <f t="shared" si="23"/>
        <v>0.001769056762230986</v>
      </c>
      <c r="AH24">
        <f t="shared" si="24"/>
        <v>0.005384071655955305</v>
      </c>
      <c r="AI24">
        <f t="shared" si="25"/>
        <v>21.5058520629902</v>
      </c>
    </row>
    <row r="25" spans="2:30" ht="13.5">
      <c r="B25">
        <v>1</v>
      </c>
      <c r="X25" t="s">
        <v>56</v>
      </c>
      <c r="Z25">
        <f>SUM(Z16:Z24)</f>
        <v>1.2928128605732905</v>
      </c>
      <c r="AB25">
        <f>SUM(AB16:AB24)</f>
        <v>0.4999340038651654</v>
      </c>
      <c r="AC25">
        <f>Z25*C13+AB25*C13^2</f>
        <v>0.38238110652725354</v>
      </c>
      <c r="AD25">
        <f>SUM(AD16:AD24)</f>
        <v>0.10335142894447416</v>
      </c>
    </row>
    <row r="26" spans="24:29" ht="13.5">
      <c r="X26" t="s">
        <v>58</v>
      </c>
      <c r="Y26">
        <f>AVERAGE(Y16:Y24)*(1-C8)</f>
        <v>1.3424667253385423</v>
      </c>
      <c r="AC26">
        <f>I16</f>
        <v>0.3981373764141643</v>
      </c>
    </row>
    <row r="27" spans="28:29" ht="13.5">
      <c r="AB27" t="s">
        <v>57</v>
      </c>
      <c r="AC27">
        <f>AC25-AC26</f>
        <v>-0.015756269886910756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7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6.7109375" style="0" bestFit="1" customWidth="1"/>
    <col min="2" max="2" width="7.57421875" style="0" customWidth="1"/>
    <col min="3" max="3" width="8.8515625" style="0" bestFit="1" customWidth="1"/>
    <col min="4" max="9" width="7.57421875" style="0" customWidth="1"/>
    <col min="10" max="10" width="4.421875" style="0" bestFit="1" customWidth="1"/>
    <col min="11" max="16" width="7.57421875" style="0" customWidth="1"/>
    <col min="17" max="17" width="8.8515625" style="3" customWidth="1"/>
    <col min="18" max="18" width="3.421875" style="0" bestFit="1" customWidth="1"/>
    <col min="19" max="25" width="7.57421875" style="0" customWidth="1"/>
    <col min="26" max="26" width="7.57421875" style="4" customWidth="1"/>
    <col min="27" max="27" width="7.57421875" style="0" customWidth="1"/>
    <col min="28" max="28" width="7.57421875" style="4" customWidth="1"/>
    <col min="29" max="29" width="7.57421875" style="0" customWidth="1"/>
    <col min="30" max="30" width="8.57421875" style="0" customWidth="1"/>
    <col min="31" max="35" width="7.57421875" style="0" customWidth="1"/>
  </cols>
  <sheetData>
    <row r="1" spans="1:4" ht="13.5">
      <c r="A1" s="6" t="s">
        <v>0</v>
      </c>
      <c r="B1" s="6"/>
      <c r="C1" s="6"/>
      <c r="D1" t="s">
        <v>66</v>
      </c>
    </row>
    <row r="3" spans="1:4" ht="13.5">
      <c r="A3" t="s">
        <v>33</v>
      </c>
      <c r="B3" t="s">
        <v>34</v>
      </c>
      <c r="C3">
        <v>1.205</v>
      </c>
      <c r="D3" t="s">
        <v>35</v>
      </c>
    </row>
    <row r="4" spans="1:4" ht="13.5">
      <c r="A4" t="s">
        <v>36</v>
      </c>
      <c r="B4" t="s">
        <v>37</v>
      </c>
      <c r="C4" s="1">
        <v>1.502E-05</v>
      </c>
      <c r="D4" t="s">
        <v>38</v>
      </c>
    </row>
    <row r="6" spans="1:4" ht="13.5">
      <c r="A6" t="s">
        <v>23</v>
      </c>
      <c r="B6" t="s">
        <v>27</v>
      </c>
      <c r="C6">
        <v>0.15</v>
      </c>
      <c r="D6" t="s">
        <v>17</v>
      </c>
    </row>
    <row r="7" spans="1:4" ht="13.5">
      <c r="A7" t="s">
        <v>26</v>
      </c>
      <c r="B7" t="s">
        <v>28</v>
      </c>
      <c r="C7">
        <v>0.125</v>
      </c>
      <c r="D7" t="s">
        <v>18</v>
      </c>
    </row>
    <row r="8" spans="1:4" ht="13.5">
      <c r="A8" t="s">
        <v>20</v>
      </c>
      <c r="B8" t="s">
        <v>29</v>
      </c>
      <c r="C8">
        <f>0.015/C7</f>
        <v>0.12</v>
      </c>
      <c r="D8" t="s">
        <v>19</v>
      </c>
    </row>
    <row r="9" spans="1:4" ht="13.5">
      <c r="A9" t="s">
        <v>24</v>
      </c>
      <c r="B9" t="s">
        <v>30</v>
      </c>
      <c r="C9">
        <v>628</v>
      </c>
      <c r="D9" t="s">
        <v>21</v>
      </c>
    </row>
    <row r="10" spans="1:4" ht="13.5">
      <c r="A10" t="s">
        <v>1</v>
      </c>
      <c r="B10" t="s">
        <v>31</v>
      </c>
      <c r="C10">
        <v>20</v>
      </c>
      <c r="D10" t="s">
        <v>22</v>
      </c>
    </row>
    <row r="11" spans="1:4" ht="13.5">
      <c r="A11" t="s">
        <v>2</v>
      </c>
      <c r="B11" t="s">
        <v>32</v>
      </c>
      <c r="C11">
        <v>2</v>
      </c>
      <c r="D11" t="s">
        <v>19</v>
      </c>
    </row>
    <row r="12" spans="1:4" ht="13.5">
      <c r="A12" t="s">
        <v>25</v>
      </c>
      <c r="B12" t="s">
        <v>9</v>
      </c>
      <c r="C12">
        <v>0.7</v>
      </c>
      <c r="D12" t="s">
        <v>19</v>
      </c>
    </row>
    <row r="13" spans="2:4" ht="13.5">
      <c r="B13" t="s">
        <v>10</v>
      </c>
      <c r="C13">
        <v>0.2813129971118272</v>
      </c>
      <c r="D13" t="s">
        <v>19</v>
      </c>
    </row>
    <row r="15" spans="2:35" ht="13.5">
      <c r="B15" t="s">
        <v>3</v>
      </c>
      <c r="C15" t="s">
        <v>4</v>
      </c>
      <c r="D15" t="s">
        <v>5</v>
      </c>
      <c r="E15" t="s">
        <v>53</v>
      </c>
      <c r="F15" t="s">
        <v>6</v>
      </c>
      <c r="G15" t="s">
        <v>54</v>
      </c>
      <c r="H15" t="s">
        <v>7</v>
      </c>
      <c r="I15" t="s">
        <v>8</v>
      </c>
      <c r="J15" t="s">
        <v>9</v>
      </c>
      <c r="K15" t="s">
        <v>10</v>
      </c>
      <c r="L15" t="s">
        <v>11</v>
      </c>
      <c r="M15" t="s">
        <v>12</v>
      </c>
      <c r="N15" t="s">
        <v>39</v>
      </c>
      <c r="O15" t="s">
        <v>13</v>
      </c>
      <c r="P15" t="s">
        <v>14</v>
      </c>
      <c r="Q15" s="3" t="s">
        <v>15</v>
      </c>
      <c r="R15" t="s">
        <v>16</v>
      </c>
      <c r="S15" t="s">
        <v>40</v>
      </c>
      <c r="T15" t="s">
        <v>52</v>
      </c>
      <c r="U15" t="s">
        <v>41</v>
      </c>
      <c r="V15" t="s">
        <v>42</v>
      </c>
      <c r="W15" t="s">
        <v>43</v>
      </c>
      <c r="X15" t="s">
        <v>55</v>
      </c>
      <c r="Y15" t="s">
        <v>44</v>
      </c>
      <c r="AA15" t="s">
        <v>45</v>
      </c>
      <c r="AC15" t="s">
        <v>46</v>
      </c>
      <c r="AE15" t="s">
        <v>47</v>
      </c>
      <c r="AF15" t="s">
        <v>48</v>
      </c>
      <c r="AG15" t="s">
        <v>49</v>
      </c>
      <c r="AH15" t="s">
        <v>50</v>
      </c>
      <c r="AI15" t="s">
        <v>51</v>
      </c>
    </row>
    <row r="16" spans="2:35" ht="13.5">
      <c r="B16">
        <v>0.2</v>
      </c>
      <c r="C16">
        <f>C$10</f>
        <v>20</v>
      </c>
      <c r="D16">
        <f>C$7</f>
        <v>0.125</v>
      </c>
      <c r="E16">
        <f>D16*B16</f>
        <v>0.025</v>
      </c>
      <c r="F16">
        <f>C$9</f>
        <v>628</v>
      </c>
      <c r="G16">
        <f aca="true" t="shared" si="0" ref="G16:G24">F16*E16/C16</f>
        <v>0.785</v>
      </c>
      <c r="H16">
        <f>C$6</f>
        <v>0.15</v>
      </c>
      <c r="I16">
        <f>C$6*C$9/(0.5*C$3*C$10^3*3.1416*C$7^2)</f>
        <v>0.3981373764141643</v>
      </c>
      <c r="J16">
        <f>C$12</f>
        <v>0.7</v>
      </c>
      <c r="K16">
        <f>C$13</f>
        <v>0.2813129971118272</v>
      </c>
      <c r="L16">
        <f>C$10/(C$9*C$7)</f>
        <v>0.25477707006369427</v>
      </c>
      <c r="M16">
        <f aca="true" t="shared" si="1" ref="M16:M24">(1+0.5*C$13)*L16/B16</f>
        <v>1.4530656032559408</v>
      </c>
      <c r="N16">
        <f>ATAN(M16)</f>
        <v>0.9680336868014393</v>
      </c>
      <c r="O16">
        <f aca="true" t="shared" si="2" ref="O16:O24">0.5*C$11*(1-B16)/SIN(ATAN((1+0.5*K16)*L16))</f>
        <v>2.866690017569195</v>
      </c>
      <c r="P16">
        <f>2/3.1416*ACOS(EXP(-O16))</f>
        <v>0.9637628532647219</v>
      </c>
      <c r="Q16" s="3">
        <f aca="true" t="shared" si="3" ref="Q16:Q24">4*3.1416*(D16*B16)*P16*COS(N16)*SIN(N16)*C16*K16/(C$4*J16*C$11)</f>
        <v>37833.13417052124</v>
      </c>
      <c r="R16">
        <v>5</v>
      </c>
      <c r="S16" s="5">
        <v>0.028</v>
      </c>
      <c r="T16">
        <f>S16/J16</f>
        <v>0.04</v>
      </c>
      <c r="U16">
        <f>0.5*K16*(COS(N16))^2*(1-T16*M16)</f>
        <v>0.04257928545792755</v>
      </c>
      <c r="V16">
        <f aca="true" t="shared" si="4" ref="V16:V24">0.5*K16/G16*COS(N16)*SIN(N16)*(1+T16/M16)</f>
        <v>0.08598312745524452</v>
      </c>
      <c r="W16">
        <f aca="true" t="shared" si="5" ref="W16:W24">C16*(1+U16)/SIN(N16)</f>
        <v>25.312309045018754</v>
      </c>
      <c r="X16">
        <f>P16*G16*COS(N16)*SIN(N16)</f>
        <v>0.353320847925788</v>
      </c>
      <c r="Y16">
        <f>4*B16*X16*(1+T16/M16)</f>
        <v>0.29043765334154625</v>
      </c>
      <c r="Z16" s="4">
        <f>0.5*(2*Y16-(Y17-Y16)*(B16-C8)/(B17-B16))*(B16-C8)+0.5*(Y16+Y17)*(B17-B16)</f>
        <v>0.05952855624348959</v>
      </c>
      <c r="AA16">
        <f>0.5*Y16*(1-T16*M16)*(COS(N16))^2</f>
        <v>0.04396038532284499</v>
      </c>
      <c r="AB16" s="4">
        <f>0.5*(2*AA16-(AA17-AA16)*(B16-C8)/(B17-B16))*(B16-C8)+0.5*(AA16*AA17)*(B17-B16)</f>
        <v>-0.0002282857724518142</v>
      </c>
      <c r="AC16">
        <f>Y16*K16+AA16*K16^2</f>
        <v>0.08518277985197512</v>
      </c>
      <c r="AD16">
        <f>0.5*(AC16*AC17)*(B17-B16)</f>
        <v>0.0008888286977355258</v>
      </c>
      <c r="AH16">
        <f>4*3.1416*E16*P16*COS(N16)*SIN(N16)*C$10*C$13/(J16*C$11*W16)</f>
        <v>0.022449697269046918</v>
      </c>
      <c r="AI16">
        <f>R16+N16*180/3.1416</f>
        <v>60.46411498098392</v>
      </c>
    </row>
    <row r="17" spans="2:35" ht="13.5">
      <c r="B17">
        <v>0.3</v>
      </c>
      <c r="C17">
        <f aca="true" t="shared" si="6" ref="C17:C24">C$10</f>
        <v>20</v>
      </c>
      <c r="D17">
        <f aca="true" t="shared" si="7" ref="D17:D24">C$7</f>
        <v>0.125</v>
      </c>
      <c r="E17">
        <f aca="true" t="shared" si="8" ref="E17:E24">D17*B17</f>
        <v>0.0375</v>
      </c>
      <c r="F17">
        <f aca="true" t="shared" si="9" ref="F17:F24">C$9</f>
        <v>628</v>
      </c>
      <c r="G17">
        <f t="shared" si="0"/>
        <v>1.1775</v>
      </c>
      <c r="H17">
        <f aca="true" t="shared" si="10" ref="H17:H24">C$6</f>
        <v>0.15</v>
      </c>
      <c r="I17">
        <f aca="true" t="shared" si="11" ref="I17:I24">C$6*C$9/(0.5*C$3*C$10^3*3.1416*C$7^2)</f>
        <v>0.3981373764141643</v>
      </c>
      <c r="J17">
        <f aca="true" t="shared" si="12" ref="J17:J24">C$12</f>
        <v>0.7</v>
      </c>
      <c r="K17">
        <f aca="true" t="shared" si="13" ref="K17:K24">C$13</f>
        <v>0.2813129971118272</v>
      </c>
      <c r="L17">
        <f aca="true" t="shared" si="14" ref="L17:L24">C$10/(C$9*C$7)</f>
        <v>0.25477707006369427</v>
      </c>
      <c r="M17">
        <f t="shared" si="1"/>
        <v>0.9687104021706272</v>
      </c>
      <c r="N17">
        <f aca="true" t="shared" si="15" ref="N17:N24">ATAN(M17)</f>
        <v>0.7695060527080797</v>
      </c>
      <c r="O17">
        <f t="shared" si="2"/>
        <v>2.5083537653730454</v>
      </c>
      <c r="P17">
        <f aca="true" t="shared" si="16" ref="P17:P24">2/3.1416*ACOS(EXP(-O17))</f>
        <v>0.9481181706056565</v>
      </c>
      <c r="Q17" s="3">
        <f t="shared" si="3"/>
        <v>59741.626110213576</v>
      </c>
      <c r="R17">
        <v>5</v>
      </c>
      <c r="S17" s="5">
        <v>0.024</v>
      </c>
      <c r="T17">
        <f aca="true" t="shared" si="17" ref="T17:T24">S17/J17</f>
        <v>0.03428571428571429</v>
      </c>
      <c r="U17">
        <f aca="true" t="shared" si="18" ref="U17:U23">0.5*K17*(COS(N17))^2*(1-T17*M17)</f>
        <v>0.07015316517799763</v>
      </c>
      <c r="V17">
        <f t="shared" si="4"/>
        <v>0.06180943471340771</v>
      </c>
      <c r="W17">
        <f t="shared" si="5"/>
        <v>30.761227081917752</v>
      </c>
      <c r="X17">
        <f aca="true" t="shared" si="19" ref="X17:X24">P17*G17*COS(N17)*SIN(N17)</f>
        <v>0.5579226372995795</v>
      </c>
      <c r="Y17">
        <f>4*B17*X17*(1+T17/M17)</f>
        <v>0.6932031334532842</v>
      </c>
      <c r="Z17" s="4">
        <f>0.5*(Y17+Y18)*(B18-B17)</f>
        <v>0.09222998207493993</v>
      </c>
      <c r="AA17">
        <f aca="true" t="shared" si="20" ref="AA17:AA24">0.5*Y17*(1-T17*M17)*(COS(N17))^2</f>
        <v>0.17286934632359802</v>
      </c>
      <c r="AB17" s="4">
        <f>0.5*(AA17+AA18)*(B18-B17)</f>
        <v>0.027072972063227185</v>
      </c>
      <c r="AC17">
        <f aca="true" t="shared" si="21" ref="AC17:AC24">Y17*K17+AA17*K17^2</f>
        <v>0.2086874129442764</v>
      </c>
      <c r="AD17">
        <f aca="true" t="shared" si="22" ref="AD17:AD24">0.5*(AC17*AC18)*(B18-B17)</f>
        <v>0.003684083254923033</v>
      </c>
      <c r="AH17">
        <f aca="true" t="shared" si="23" ref="AH17:AH24">4*3.1416*E17*P17*COS(N17)*SIN(N17)*C$10*C$13/(J17*C$11*W17)</f>
        <v>0.029170462601697558</v>
      </c>
      <c r="AI17">
        <f aca="true" t="shared" si="24" ref="AI17:AI24">R17+N17*180/3.1416</f>
        <v>49.0893460298747</v>
      </c>
    </row>
    <row r="18" spans="2:35" ht="13.5">
      <c r="B18">
        <v>0.4</v>
      </c>
      <c r="C18">
        <f t="shared" si="6"/>
        <v>20</v>
      </c>
      <c r="D18">
        <f t="shared" si="7"/>
        <v>0.125</v>
      </c>
      <c r="E18">
        <f t="shared" si="8"/>
        <v>0.05</v>
      </c>
      <c r="F18">
        <f t="shared" si="9"/>
        <v>628</v>
      </c>
      <c r="G18">
        <f t="shared" si="0"/>
        <v>1.57</v>
      </c>
      <c r="H18">
        <f t="shared" si="10"/>
        <v>0.15</v>
      </c>
      <c r="I18">
        <f t="shared" si="11"/>
        <v>0.3981373764141643</v>
      </c>
      <c r="J18">
        <f t="shared" si="12"/>
        <v>0.7</v>
      </c>
      <c r="K18">
        <f t="shared" si="13"/>
        <v>0.2813129971118272</v>
      </c>
      <c r="L18">
        <f t="shared" si="14"/>
        <v>0.25477707006369427</v>
      </c>
      <c r="M18">
        <f t="shared" si="1"/>
        <v>0.7265328016279704</v>
      </c>
      <c r="N18">
        <f t="shared" si="15"/>
        <v>0.6283121646918659</v>
      </c>
      <c r="O18">
        <f t="shared" si="2"/>
        <v>2.150017513176896</v>
      </c>
      <c r="P18">
        <f t="shared" si="16"/>
        <v>0.925674294063338</v>
      </c>
      <c r="Q18" s="3">
        <f t="shared" si="3"/>
        <v>74000.63488278401</v>
      </c>
      <c r="R18">
        <v>5</v>
      </c>
      <c r="S18" s="5">
        <v>0.021</v>
      </c>
      <c r="T18">
        <f t="shared" si="17"/>
        <v>0.030000000000000002</v>
      </c>
      <c r="U18">
        <f t="shared" si="18"/>
        <v>0.0900551491940703</v>
      </c>
      <c r="V18">
        <f t="shared" si="4"/>
        <v>0.044361601784503296</v>
      </c>
      <c r="W18">
        <f t="shared" si="5"/>
        <v>37.09057674388122</v>
      </c>
      <c r="X18">
        <f t="shared" si="19"/>
        <v>0.6910864679089755</v>
      </c>
      <c r="Y18">
        <f aca="true" t="shared" si="25" ref="Y18:Y24">4*B18*X18*(1+T18/M18)</f>
        <v>1.1513965080455137</v>
      </c>
      <c r="Z18" s="4">
        <f aca="true" t="shared" si="26" ref="Z18:Z23">0.5*(Y18+Y19)*(B19-B18)</f>
        <v>0.13748641352966878</v>
      </c>
      <c r="AA18">
        <f t="shared" si="20"/>
        <v>0.3685900949409455</v>
      </c>
      <c r="AB18" s="4">
        <f aca="true" t="shared" si="27" ref="AB18:AB23">0.5*(AA18+AA19)*(B19-B18)</f>
        <v>0.04780162675080786</v>
      </c>
      <c r="AC18">
        <f t="shared" si="21"/>
        <v>0.3530719177497067</v>
      </c>
      <c r="AD18">
        <f t="shared" si="22"/>
        <v>0.00875830079581972</v>
      </c>
      <c r="AH18">
        <f t="shared" si="23"/>
        <v>0.02996689815891786</v>
      </c>
      <c r="AI18">
        <f t="shared" si="24"/>
        <v>40.999551070962525</v>
      </c>
    </row>
    <row r="19" spans="2:35" ht="13.5">
      <c r="B19">
        <v>0.5</v>
      </c>
      <c r="C19">
        <f t="shared" si="6"/>
        <v>20</v>
      </c>
      <c r="D19">
        <f t="shared" si="7"/>
        <v>0.125</v>
      </c>
      <c r="E19">
        <f t="shared" si="8"/>
        <v>0.0625</v>
      </c>
      <c r="F19">
        <f t="shared" si="9"/>
        <v>628</v>
      </c>
      <c r="G19">
        <f t="shared" si="0"/>
        <v>1.9625</v>
      </c>
      <c r="H19">
        <f t="shared" si="10"/>
        <v>0.15</v>
      </c>
      <c r="I19">
        <f t="shared" si="11"/>
        <v>0.3981373764141643</v>
      </c>
      <c r="J19">
        <f t="shared" si="12"/>
        <v>0.7</v>
      </c>
      <c r="K19">
        <f t="shared" si="13"/>
        <v>0.2813129971118272</v>
      </c>
      <c r="L19">
        <f t="shared" si="14"/>
        <v>0.25477707006369427</v>
      </c>
      <c r="M19">
        <f t="shared" si="1"/>
        <v>0.5812262413023763</v>
      </c>
      <c r="N19">
        <f t="shared" si="15"/>
        <v>0.5265008757960061</v>
      </c>
      <c r="O19">
        <f t="shared" si="2"/>
        <v>1.7916812609807469</v>
      </c>
      <c r="P19">
        <f t="shared" si="16"/>
        <v>0.8933887365908378</v>
      </c>
      <c r="Q19" s="3">
        <f t="shared" si="3"/>
        <v>81564.17429543253</v>
      </c>
      <c r="R19">
        <v>5</v>
      </c>
      <c r="S19" s="5">
        <v>0.02</v>
      </c>
      <c r="T19">
        <f t="shared" si="17"/>
        <v>0.028571428571428574</v>
      </c>
      <c r="U19">
        <f t="shared" si="18"/>
        <v>0.10339229771972591</v>
      </c>
      <c r="V19">
        <f t="shared" si="4"/>
        <v>0.032669082132407684</v>
      </c>
      <c r="W19">
        <f t="shared" si="5"/>
        <v>43.915133995794655</v>
      </c>
      <c r="X19">
        <f t="shared" si="19"/>
        <v>0.7617218042930103</v>
      </c>
      <c r="Y19">
        <f t="shared" si="25"/>
        <v>1.5983317625478624</v>
      </c>
      <c r="Z19" s="4">
        <f t="shared" si="26"/>
        <v>0.17904754532414063</v>
      </c>
      <c r="AA19">
        <f t="shared" si="20"/>
        <v>0.587442440075212</v>
      </c>
      <c r="AB19" s="4">
        <f t="shared" si="27"/>
        <v>0.06899131324648514</v>
      </c>
      <c r="AC19">
        <f t="shared" si="21"/>
        <v>0.4961199322585885</v>
      </c>
      <c r="AD19">
        <f t="shared" si="22"/>
        <v>0.015390717229088626</v>
      </c>
      <c r="AH19">
        <f t="shared" si="23"/>
        <v>0.027896849820262703</v>
      </c>
      <c r="AI19">
        <f t="shared" si="24"/>
        <v>35.16620755133725</v>
      </c>
    </row>
    <row r="20" spans="2:35" ht="13.5">
      <c r="B20">
        <v>0.6</v>
      </c>
      <c r="C20">
        <f t="shared" si="6"/>
        <v>20</v>
      </c>
      <c r="D20">
        <f t="shared" si="7"/>
        <v>0.125</v>
      </c>
      <c r="E20">
        <f t="shared" si="8"/>
        <v>0.075</v>
      </c>
      <c r="F20">
        <f t="shared" si="9"/>
        <v>628</v>
      </c>
      <c r="G20">
        <f t="shared" si="0"/>
        <v>2.355</v>
      </c>
      <c r="H20">
        <f t="shared" si="10"/>
        <v>0.15</v>
      </c>
      <c r="I20">
        <f t="shared" si="11"/>
        <v>0.3981373764141643</v>
      </c>
      <c r="J20">
        <f t="shared" si="12"/>
        <v>0.7</v>
      </c>
      <c r="K20">
        <f t="shared" si="13"/>
        <v>0.2813129971118272</v>
      </c>
      <c r="L20">
        <f t="shared" si="14"/>
        <v>0.25477707006369427</v>
      </c>
      <c r="M20">
        <f t="shared" si="1"/>
        <v>0.4843552010853136</v>
      </c>
      <c r="N20">
        <f t="shared" si="15"/>
        <v>0.45105361940863775</v>
      </c>
      <c r="O20">
        <f t="shared" si="2"/>
        <v>1.4333450087845976</v>
      </c>
      <c r="P20">
        <f t="shared" si="16"/>
        <v>0.8466802154985329</v>
      </c>
      <c r="Q20" s="3">
        <f t="shared" si="3"/>
        <v>83762.78111432656</v>
      </c>
      <c r="R20">
        <v>5</v>
      </c>
      <c r="S20" s="5">
        <v>0.019</v>
      </c>
      <c r="T20">
        <f t="shared" si="17"/>
        <v>0.027142857142857142</v>
      </c>
      <c r="U20">
        <f t="shared" si="18"/>
        <v>0.11243100789914674</v>
      </c>
      <c r="V20">
        <f t="shared" si="4"/>
        <v>0.024744952308167027</v>
      </c>
      <c r="W20">
        <f t="shared" si="5"/>
        <v>51.03901018018331</v>
      </c>
      <c r="X20">
        <f t="shared" si="19"/>
        <v>0.7822544311170478</v>
      </c>
      <c r="Y20">
        <f t="shared" si="25"/>
        <v>1.982619143934951</v>
      </c>
      <c r="Z20" s="4">
        <f t="shared" si="26"/>
        <v>0.21170809301380564</v>
      </c>
      <c r="AA20">
        <f t="shared" si="20"/>
        <v>0.7923838248544911</v>
      </c>
      <c r="AB20" s="4">
        <f t="shared" si="27"/>
        <v>0.08711969852336558</v>
      </c>
      <c r="AC20">
        <f t="shared" si="21"/>
        <v>0.6204434141165146</v>
      </c>
      <c r="AD20">
        <f t="shared" si="22"/>
        <v>0.02198135420711617</v>
      </c>
      <c r="AH20">
        <f t="shared" si="23"/>
        <v>0.024650105240984245</v>
      </c>
      <c r="AI20">
        <f t="shared" si="24"/>
        <v>30.843408293084668</v>
      </c>
    </row>
    <row r="21" spans="2:35" ht="13.5">
      <c r="B21">
        <v>0.7</v>
      </c>
      <c r="C21">
        <f t="shared" si="6"/>
        <v>20</v>
      </c>
      <c r="D21">
        <f t="shared" si="7"/>
        <v>0.125</v>
      </c>
      <c r="E21">
        <f t="shared" si="8"/>
        <v>0.0875</v>
      </c>
      <c r="F21">
        <f t="shared" si="9"/>
        <v>628</v>
      </c>
      <c r="G21">
        <f t="shared" si="0"/>
        <v>2.7474999999999996</v>
      </c>
      <c r="H21">
        <f t="shared" si="10"/>
        <v>0.15</v>
      </c>
      <c r="I21">
        <f t="shared" si="11"/>
        <v>0.3981373764141643</v>
      </c>
      <c r="J21">
        <f t="shared" si="12"/>
        <v>0.7</v>
      </c>
      <c r="K21">
        <f t="shared" si="13"/>
        <v>0.2813129971118272</v>
      </c>
      <c r="L21">
        <f t="shared" si="14"/>
        <v>0.25477707006369427</v>
      </c>
      <c r="M21">
        <f t="shared" si="1"/>
        <v>0.4151616009302688</v>
      </c>
      <c r="N21">
        <f t="shared" si="15"/>
        <v>0.3935080119080631</v>
      </c>
      <c r="O21">
        <f t="shared" si="2"/>
        <v>1.0750087565884483</v>
      </c>
      <c r="P21">
        <f t="shared" si="16"/>
        <v>0.77826731457449</v>
      </c>
      <c r="Q21" s="3">
        <f t="shared" si="3"/>
        <v>81082.29784533015</v>
      </c>
      <c r="R21">
        <v>5</v>
      </c>
      <c r="S21" s="5">
        <v>0.018</v>
      </c>
      <c r="T21">
        <f t="shared" si="17"/>
        <v>0.025714285714285714</v>
      </c>
      <c r="U21">
        <f t="shared" si="18"/>
        <v>0.11869648282013374</v>
      </c>
      <c r="V21">
        <f t="shared" si="4"/>
        <v>0.01925208488583682</v>
      </c>
      <c r="W21">
        <f t="shared" si="5"/>
        <v>58.35195753495925</v>
      </c>
      <c r="X21">
        <f t="shared" si="19"/>
        <v>0.7572215956880805</v>
      </c>
      <c r="Y21">
        <f t="shared" si="25"/>
        <v>2.2515427163411625</v>
      </c>
      <c r="Z21" s="4">
        <f t="shared" si="26"/>
        <v>0.22914105722758363</v>
      </c>
      <c r="AA21">
        <f t="shared" si="20"/>
        <v>0.9500101456128209</v>
      </c>
      <c r="AB21" s="4">
        <f t="shared" si="27"/>
        <v>0.09850709284060066</v>
      </c>
      <c r="AC21">
        <f t="shared" si="21"/>
        <v>0.7085691847794597</v>
      </c>
      <c r="AD21">
        <f t="shared" si="22"/>
        <v>0.02609479931912319</v>
      </c>
      <c r="AH21">
        <f t="shared" si="23"/>
        <v>0.02087086989167808</v>
      </c>
      <c r="AI21">
        <f t="shared" si="24"/>
        <v>27.546295563869162</v>
      </c>
    </row>
    <row r="22" spans="2:35" ht="13.5">
      <c r="B22">
        <v>0.8</v>
      </c>
      <c r="C22">
        <f t="shared" si="6"/>
        <v>20</v>
      </c>
      <c r="D22">
        <f t="shared" si="7"/>
        <v>0.125</v>
      </c>
      <c r="E22">
        <f t="shared" si="8"/>
        <v>0.1</v>
      </c>
      <c r="F22">
        <f t="shared" si="9"/>
        <v>628</v>
      </c>
      <c r="G22">
        <f t="shared" si="0"/>
        <v>3.14</v>
      </c>
      <c r="H22">
        <f t="shared" si="10"/>
        <v>0.15</v>
      </c>
      <c r="I22">
        <f t="shared" si="11"/>
        <v>0.3981373764141643</v>
      </c>
      <c r="J22">
        <f t="shared" si="12"/>
        <v>0.7</v>
      </c>
      <c r="K22">
        <f t="shared" si="13"/>
        <v>0.2813129971118272</v>
      </c>
      <c r="L22">
        <f t="shared" si="14"/>
        <v>0.25477707006369427</v>
      </c>
      <c r="M22">
        <f t="shared" si="1"/>
        <v>0.3632664008139852</v>
      </c>
      <c r="N22">
        <f t="shared" si="15"/>
        <v>0.3484442092803237</v>
      </c>
      <c r="O22">
        <f t="shared" si="2"/>
        <v>0.7166725043922987</v>
      </c>
      <c r="P22">
        <f t="shared" si="16"/>
        <v>0.6751783553890641</v>
      </c>
      <c r="Q22" s="3">
        <f t="shared" si="3"/>
        <v>72852.49266589925</v>
      </c>
      <c r="R22">
        <v>5</v>
      </c>
      <c r="S22" s="5">
        <v>0.018</v>
      </c>
      <c r="T22">
        <f t="shared" si="17"/>
        <v>0.025714285714285714</v>
      </c>
      <c r="U22">
        <f t="shared" si="18"/>
        <v>0.12309825615576292</v>
      </c>
      <c r="V22">
        <f t="shared" si="4"/>
        <v>0.01539310250051585</v>
      </c>
      <c r="W22">
        <f t="shared" si="5"/>
        <v>65.78676534001097</v>
      </c>
      <c r="X22">
        <f t="shared" si="19"/>
        <v>0.6803640524786092</v>
      </c>
      <c r="Y22">
        <f t="shared" si="25"/>
        <v>2.331278428210506</v>
      </c>
      <c r="Z22" s="4">
        <f t="shared" si="26"/>
        <v>0.21883599710336912</v>
      </c>
      <c r="AA22">
        <f t="shared" si="20"/>
        <v>1.0201317111991905</v>
      </c>
      <c r="AB22" s="4">
        <f t="shared" si="27"/>
        <v>0.09690841091793378</v>
      </c>
      <c r="AC22">
        <f t="shared" si="21"/>
        <v>0.736549087362446</v>
      </c>
      <c r="AD22">
        <f t="shared" si="22"/>
        <v>0.02386639786443941</v>
      </c>
      <c r="AH22">
        <f t="shared" si="23"/>
        <v>0.01663320022175184</v>
      </c>
      <c r="AI22">
        <f t="shared" si="24"/>
        <v>24.96433590223398</v>
      </c>
    </row>
    <row r="23" spans="2:35" ht="13.5">
      <c r="B23">
        <v>0.9</v>
      </c>
      <c r="C23">
        <f t="shared" si="6"/>
        <v>20</v>
      </c>
      <c r="D23">
        <f t="shared" si="7"/>
        <v>0.125</v>
      </c>
      <c r="E23">
        <f t="shared" si="8"/>
        <v>0.1125</v>
      </c>
      <c r="F23">
        <f t="shared" si="9"/>
        <v>628</v>
      </c>
      <c r="G23">
        <f t="shared" si="0"/>
        <v>3.5325</v>
      </c>
      <c r="H23">
        <f t="shared" si="10"/>
        <v>0.15</v>
      </c>
      <c r="I23">
        <f t="shared" si="11"/>
        <v>0.3981373764141643</v>
      </c>
      <c r="J23">
        <f t="shared" si="12"/>
        <v>0.7</v>
      </c>
      <c r="K23">
        <f t="shared" si="13"/>
        <v>0.2813129971118272</v>
      </c>
      <c r="L23">
        <f t="shared" si="14"/>
        <v>0.25477707006369427</v>
      </c>
      <c r="M23">
        <f t="shared" si="1"/>
        <v>0.3229034673902091</v>
      </c>
      <c r="N23">
        <f t="shared" si="15"/>
        <v>0.3123344899832813</v>
      </c>
      <c r="O23">
        <f t="shared" si="2"/>
        <v>0.35833625219614934</v>
      </c>
      <c r="P23">
        <f t="shared" si="16"/>
        <v>0.5074004274472601</v>
      </c>
      <c r="Q23" s="3">
        <f t="shared" si="3"/>
        <v>56122.21568351616</v>
      </c>
      <c r="R23">
        <v>5</v>
      </c>
      <c r="S23" s="5">
        <v>0.019</v>
      </c>
      <c r="T23">
        <f t="shared" si="17"/>
        <v>0.027142857142857142</v>
      </c>
      <c r="U23">
        <f t="shared" si="18"/>
        <v>0.12625909835971913</v>
      </c>
      <c r="V23">
        <f t="shared" si="4"/>
        <v>0.012622029694673013</v>
      </c>
      <c r="W23">
        <f t="shared" si="5"/>
        <v>73.3048277282344</v>
      </c>
      <c r="X23">
        <f t="shared" si="19"/>
        <v>0.5241212304378506</v>
      </c>
      <c r="Y23">
        <f t="shared" si="25"/>
        <v>2.045441513856878</v>
      </c>
      <c r="Z23" s="4">
        <f t="shared" si="26"/>
        <v>0.12205413358560654</v>
      </c>
      <c r="AA23">
        <f t="shared" si="20"/>
        <v>0.9180365071594855</v>
      </c>
      <c r="AB23" s="4">
        <f t="shared" si="27"/>
        <v>0.05503845216420833</v>
      </c>
      <c r="AC23">
        <f t="shared" si="21"/>
        <v>0.6480599398990248</v>
      </c>
      <c r="AD23">
        <f t="shared" si="22"/>
        <v>0.009324768896263191</v>
      </c>
      <c r="AH23">
        <f t="shared" si="23"/>
        <v>0.011499320108786456</v>
      </c>
      <c r="AI23">
        <f t="shared" si="24"/>
        <v>22.895406225168905</v>
      </c>
    </row>
    <row r="24" spans="2:35" ht="13.5">
      <c r="B24">
        <v>0.975</v>
      </c>
      <c r="C24">
        <f t="shared" si="6"/>
        <v>20</v>
      </c>
      <c r="D24">
        <f t="shared" si="7"/>
        <v>0.125</v>
      </c>
      <c r="E24">
        <f t="shared" si="8"/>
        <v>0.121875</v>
      </c>
      <c r="F24">
        <f t="shared" si="9"/>
        <v>628</v>
      </c>
      <c r="G24">
        <f t="shared" si="0"/>
        <v>3.826875</v>
      </c>
      <c r="H24">
        <f t="shared" si="10"/>
        <v>0.15</v>
      </c>
      <c r="I24">
        <f t="shared" si="11"/>
        <v>0.3981373764141643</v>
      </c>
      <c r="J24">
        <f t="shared" si="12"/>
        <v>0.7</v>
      </c>
      <c r="K24">
        <f t="shared" si="13"/>
        <v>0.2813129971118272</v>
      </c>
      <c r="L24">
        <f t="shared" si="14"/>
        <v>0.25477707006369427</v>
      </c>
      <c r="M24">
        <f t="shared" si="1"/>
        <v>0.2980647391294238</v>
      </c>
      <c r="N24">
        <f t="shared" si="15"/>
        <v>0.28968038146714375</v>
      </c>
      <c r="O24">
        <f t="shared" si="2"/>
        <v>0.08958406304903743</v>
      </c>
      <c r="P24">
        <f t="shared" si="16"/>
        <v>0.26546465114428014</v>
      </c>
      <c r="Q24" s="3">
        <f t="shared" si="3"/>
        <v>29778.274949539562</v>
      </c>
      <c r="R24">
        <v>5</v>
      </c>
      <c r="S24" s="5">
        <v>0.024</v>
      </c>
      <c r="T24">
        <f t="shared" si="17"/>
        <v>0.03428571428571429</v>
      </c>
      <c r="U24">
        <f>0.5*K24*(COS(N24))^2*(1-T24*M24)</f>
        <v>0.1278596927183249</v>
      </c>
      <c r="V24">
        <f t="shared" si="4"/>
        <v>0.01121880763734714</v>
      </c>
      <c r="W24">
        <f t="shared" si="5"/>
        <v>78.96906923340674</v>
      </c>
      <c r="X24">
        <f t="shared" si="19"/>
        <v>0.2780971121112279</v>
      </c>
      <c r="Y24">
        <f t="shared" si="25"/>
        <v>1.2093353817592989</v>
      </c>
      <c r="Z24" s="4">
        <f>(7*Y24-Y23)/6*(B25-B24)</f>
        <v>0.02674960899357592</v>
      </c>
      <c r="AA24">
        <f t="shared" si="20"/>
        <v>0.5496555505527376</v>
      </c>
      <c r="AB24" s="4">
        <f>(7*AA24-AA23)/6*(B25-B24)</f>
        <v>0.012206468111290336</v>
      </c>
      <c r="AC24">
        <f t="shared" si="21"/>
        <v>0.3836998533485901</v>
      </c>
      <c r="AD24">
        <f t="shared" si="22"/>
        <v>0.0019099753754964973</v>
      </c>
      <c r="AH24">
        <f t="shared" si="23"/>
        <v>0.00566385920568598</v>
      </c>
      <c r="AI24">
        <f t="shared" si="24"/>
        <v>21.59742445380885</v>
      </c>
    </row>
    <row r="25" spans="2:30" ht="13.5">
      <c r="B25">
        <v>1</v>
      </c>
      <c r="S25" t="s">
        <v>65</v>
      </c>
      <c r="X25" t="s">
        <v>56</v>
      </c>
      <c r="Z25" s="4">
        <f>SUM(Z16:Z24)</f>
        <v>1.2767813870961797</v>
      </c>
      <c r="AB25" s="4">
        <f>SUM(AB16:AB24)</f>
        <v>0.4934177488454671</v>
      </c>
      <c r="AC25">
        <f>Z25*C13+AB25*C13^2</f>
        <v>0.3982228002075965</v>
      </c>
      <c r="AD25">
        <f>SUM(AD16:AD24)</f>
        <v>0.11189922564000536</v>
      </c>
    </row>
    <row r="26" spans="24:29" ht="13.5">
      <c r="X26" t="s">
        <v>58</v>
      </c>
      <c r="Y26">
        <f>AVERAGE(Y16:Y24)*(1-C8)</f>
        <v>1.3252395436124538</v>
      </c>
      <c r="AC26">
        <f>I16</f>
        <v>0.3981373764141643</v>
      </c>
    </row>
    <row r="27" spans="28:29" ht="13.5">
      <c r="AB27" s="4" t="s">
        <v>57</v>
      </c>
      <c r="AC27">
        <f>AC25-AC26</f>
        <v>8.54237934321822E-05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9.8515625" style="2" bestFit="1" customWidth="1"/>
  </cols>
  <sheetData>
    <row r="1" spans="1:4" ht="13.5">
      <c r="A1" s="2" t="s">
        <v>59</v>
      </c>
      <c r="B1" t="s">
        <v>60</v>
      </c>
      <c r="D1" t="s">
        <v>64</v>
      </c>
    </row>
    <row r="3" spans="1:3" ht="16.5">
      <c r="A3" s="2" t="s">
        <v>61</v>
      </c>
      <c r="B3" t="s">
        <v>63</v>
      </c>
      <c r="C3" t="s">
        <v>62</v>
      </c>
    </row>
    <row r="4" spans="1:3" ht="15">
      <c r="A4" s="2">
        <v>41500</v>
      </c>
      <c r="B4">
        <v>0.7</v>
      </c>
      <c r="C4">
        <v>0.027</v>
      </c>
    </row>
    <row r="5" spans="1:3" ht="15">
      <c r="A5" s="2">
        <v>82800</v>
      </c>
      <c r="B5">
        <v>0.7</v>
      </c>
      <c r="C5">
        <v>0.022</v>
      </c>
    </row>
    <row r="6" spans="1:3" ht="15">
      <c r="A6" s="2">
        <v>166000</v>
      </c>
      <c r="B6">
        <v>0.7</v>
      </c>
      <c r="C6">
        <v>0.012</v>
      </c>
    </row>
    <row r="7" spans="1:3" ht="15">
      <c r="A7" s="2">
        <v>333000</v>
      </c>
      <c r="B7">
        <v>0.7</v>
      </c>
      <c r="C7">
        <v>0.015</v>
      </c>
    </row>
    <row r="8" spans="1:3" ht="15">
      <c r="A8" s="2">
        <v>656000</v>
      </c>
      <c r="B8">
        <v>0.7</v>
      </c>
      <c r="C8">
        <v>0.015</v>
      </c>
    </row>
    <row r="9" spans="1:3" ht="15">
      <c r="A9" s="2">
        <v>1295000</v>
      </c>
      <c r="B9">
        <v>0.7</v>
      </c>
      <c r="C9">
        <v>0.0125</v>
      </c>
    </row>
    <row r="10" spans="1:3" ht="15">
      <c r="A10" s="2">
        <v>2310000</v>
      </c>
      <c r="B10">
        <v>0.7</v>
      </c>
      <c r="C10">
        <v>0.012</v>
      </c>
    </row>
    <row r="11" spans="1:3" ht="15">
      <c r="A11" s="2">
        <v>3120000</v>
      </c>
      <c r="B11">
        <v>0.7</v>
      </c>
      <c r="C11">
        <v>0.0105</v>
      </c>
    </row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金野祥久</dc:creator>
  <cp:keywords/>
  <dc:description/>
  <cp:lastModifiedBy>金野祥久</cp:lastModifiedBy>
  <dcterms:created xsi:type="dcterms:W3CDTF">2010-11-15T09:57:33Z</dcterms:created>
  <dcterms:modified xsi:type="dcterms:W3CDTF">2010-11-29T13:22:46Z</dcterms:modified>
  <cp:category/>
  <cp:version/>
  <cp:contentType/>
  <cp:contentStatus/>
</cp:coreProperties>
</file>